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445" tabRatio="800" activeTab="1"/>
  </bookViews>
  <sheets>
    <sheet name="汇总 (12.10)" sheetId="22" r:id="rId1"/>
    <sheet name="明细表12.10" sheetId="24" r:id="rId2"/>
  </sheets>
  <definedNames>
    <definedName name="_xlnm._FilterDatabase" localSheetId="1" hidden="1">明细表12.10!$A$5:$AG$24</definedName>
    <definedName name="_xlnm.Print_Area" localSheetId="1">明细表12.10!$A$1:$AE$24</definedName>
    <definedName name="_xlnm.Print_Titles" localSheetId="1">明细表12.10!$2:$4</definedName>
  </definedNames>
  <calcPr calcId="144525"/>
</workbook>
</file>

<file path=xl/sharedStrings.xml><?xml version="1.0" encoding="utf-8"?>
<sst xmlns="http://schemas.openxmlformats.org/spreadsheetml/2006/main" count="173" uniqueCount="124">
  <si>
    <t>附件3-3-1:</t>
  </si>
  <si>
    <t>2020年部补助渡改桥投资计划汇总表</t>
  </si>
  <si>
    <t>序号</t>
  </si>
  <si>
    <t>市州</t>
  </si>
  <si>
    <t>座数</t>
  </si>
  <si>
    <t>国省补助资金计划安排情况</t>
  </si>
  <si>
    <t>备注</t>
  </si>
  <si>
    <t>小计</t>
  </si>
  <si>
    <t>续建项目</t>
  </si>
  <si>
    <t>新开工项目</t>
  </si>
  <si>
    <t>国省补助总资金（万元）</t>
  </si>
  <si>
    <t>已下达国省补助资金（万元）</t>
  </si>
  <si>
    <t>扣减资金（万元）</t>
  </si>
  <si>
    <t>本次计划下达部补助资金（万元）</t>
  </si>
  <si>
    <t>邵阳</t>
  </si>
  <si>
    <t>附件3-3-2：</t>
  </si>
  <si>
    <t>2020年部补助渡改桥计划明细表</t>
  </si>
  <si>
    <t>县市区</t>
  </si>
  <si>
    <t>渡口名称</t>
  </si>
  <si>
    <t>渡口所在
位置(坐标)</t>
  </si>
  <si>
    <t>所在乡镇</t>
  </si>
  <si>
    <t>渡口类型</t>
  </si>
  <si>
    <t>路线编码</t>
  </si>
  <si>
    <t>所在河流（水库）</t>
  </si>
  <si>
    <t>大桥</t>
  </si>
  <si>
    <t>批复情况</t>
  </si>
  <si>
    <t>地区分类</t>
  </si>
  <si>
    <t>补助标准（元/㎡）</t>
  </si>
  <si>
    <t>测算国省补助资金     （万元）</t>
  </si>
  <si>
    <t>按总投资控制</t>
  </si>
  <si>
    <t>地方自筹</t>
  </si>
  <si>
    <t>已下达国省补助资金</t>
  </si>
  <si>
    <t>剩余国省补助资金</t>
  </si>
  <si>
    <t>本次计划下达国省补助资金（万元）</t>
  </si>
  <si>
    <t>本次下达部补助资金（万元）</t>
  </si>
  <si>
    <t>经度（小数点后八位</t>
  </si>
  <si>
    <t>纬度（小数点后八位）</t>
  </si>
  <si>
    <t>桥长（米）</t>
  </si>
  <si>
    <t>桥宽（米）</t>
  </si>
  <si>
    <t>补助桥宽（米）</t>
  </si>
  <si>
    <t>文号</t>
  </si>
  <si>
    <t>总投资  （万元）</t>
  </si>
  <si>
    <t xml:space="preserve">合计 </t>
  </si>
  <si>
    <t>三</t>
  </si>
  <si>
    <t>2016年续建项目（2016年渡改桥项目）</t>
  </si>
  <si>
    <t>邵阳市</t>
  </si>
  <si>
    <t>新邵县</t>
  </si>
  <si>
    <t>山禾渡口</t>
  </si>
  <si>
    <t>大新乡</t>
  </si>
  <si>
    <t>C658430522</t>
  </si>
  <si>
    <t>麦子街河</t>
  </si>
  <si>
    <t>邵市交计统字[2015]227号</t>
  </si>
  <si>
    <t>合心渡口</t>
  </si>
  <si>
    <t>新田铺镇</t>
  </si>
  <si>
    <t>C413430522</t>
  </si>
  <si>
    <t>石马江</t>
  </si>
  <si>
    <t>邵市交计统字 [2016]40号</t>
  </si>
  <si>
    <t>石脚渡口</t>
  </si>
  <si>
    <t>小塘镇</t>
  </si>
  <si>
    <t>C206430522</t>
  </si>
  <si>
    <t>邵市交计统字 [2016]41号</t>
  </si>
  <si>
    <t>向东渡口</t>
  </si>
  <si>
    <t>C410430522</t>
  </si>
  <si>
    <t>邵市交计统字 [2016]42号</t>
  </si>
  <si>
    <t>四</t>
  </si>
  <si>
    <t>2017年续建项目</t>
  </si>
  <si>
    <t>邵阳县</t>
  </si>
  <si>
    <t>中坝渡口</t>
  </si>
  <si>
    <t>谷洲镇</t>
  </si>
  <si>
    <t>三级人渡</t>
  </si>
  <si>
    <t>Y035430523</t>
  </si>
  <si>
    <t>檀江</t>
  </si>
  <si>
    <t>邵市交计统字〔2016〕232号</t>
  </si>
  <si>
    <t>隆回县</t>
  </si>
  <si>
    <t>水口山渡口</t>
  </si>
  <si>
    <t>麻塘山乡</t>
  </si>
  <si>
    <t>二级人渡</t>
  </si>
  <si>
    <t>Y065430524</t>
  </si>
  <si>
    <t>油溪坪河</t>
  </si>
  <si>
    <t>隆交字〔2015〕82号</t>
  </si>
  <si>
    <t>城步县</t>
  </si>
  <si>
    <t>上水渡口</t>
  </si>
  <si>
    <t>丹口镇</t>
  </si>
  <si>
    <t>人渡</t>
  </si>
  <si>
    <t>S246</t>
  </si>
  <si>
    <t>巫水</t>
  </si>
  <si>
    <t>城交字〔2016〕122号</t>
  </si>
  <si>
    <t>双河渡口</t>
  </si>
  <si>
    <t>五峰铺镇</t>
  </si>
  <si>
    <t>VD67430523</t>
  </si>
  <si>
    <t>檀江支流</t>
  </si>
  <si>
    <t>邵交字〔2016〕4号</t>
  </si>
  <si>
    <t>新兴渡口</t>
  </si>
  <si>
    <t>C112430524</t>
  </si>
  <si>
    <t>尖山河</t>
  </si>
  <si>
    <t>隆交字〔2015〕81号</t>
  </si>
  <si>
    <t>刘家排渡口</t>
  </si>
  <si>
    <t>羊古坳乡</t>
  </si>
  <si>
    <t>C42I430524</t>
  </si>
  <si>
    <t>四都河</t>
  </si>
  <si>
    <t>邵市交计统字〔2016〕260号</t>
  </si>
  <si>
    <t>星月渡口</t>
  </si>
  <si>
    <t>西洋江镇</t>
  </si>
  <si>
    <t>C534430524</t>
  </si>
  <si>
    <t>西洋江</t>
  </si>
  <si>
    <t>隆交字〔2015〕106号</t>
  </si>
  <si>
    <t>江口渡口</t>
  </si>
  <si>
    <t>威溪乡</t>
  </si>
  <si>
    <t>V011430529</t>
  </si>
  <si>
    <t>威溪水</t>
  </si>
  <si>
    <t>城交字〔2016〕118号</t>
  </si>
  <si>
    <t>双江渡口</t>
  </si>
  <si>
    <t>陈家坊镇</t>
  </si>
  <si>
    <t>C462</t>
  </si>
  <si>
    <t>邵市交计统字〔2016〕136号</t>
  </si>
  <si>
    <t>田江渡口</t>
  </si>
  <si>
    <t>VF85</t>
  </si>
  <si>
    <t>邵市交计统字〔2016〕233号</t>
  </si>
  <si>
    <t>按跨径总长属中桥</t>
  </si>
  <si>
    <t>上源渡口</t>
  </si>
  <si>
    <t>龙溪铺镇</t>
  </si>
  <si>
    <t>C37A430522</t>
  </si>
  <si>
    <t>龙涎河</t>
  </si>
  <si>
    <t>新交字〔2016〕92号</t>
  </si>
</sst>
</file>

<file path=xl/styles.xml><?xml version="1.0" encoding="utf-8"?>
<styleSheet xmlns="http://schemas.openxmlformats.org/spreadsheetml/2006/main">
  <numFmts count="11">
    <numFmt numFmtId="176" formatCode="0.00000000_);[Red]\(0.00000000\)"/>
    <numFmt numFmtId="43" formatCode="_ * #,##0.00_ ;_ * \-#,##0.00_ ;_ * &quot;-&quot;??_ ;_ @_ "/>
    <numFmt numFmtId="177" formatCode="0.0_);[Red]\(0.0\)"/>
    <numFmt numFmtId="41" formatCode="_ * #,##0_ ;_ * \-#,##0_ ;_ * &quot;-&quot;_ ;_ @_ "/>
    <numFmt numFmtId="42" formatCode="_ &quot;￥&quot;* #,##0_ ;_ &quot;￥&quot;* \-#,##0_ ;_ &quot;￥&quot;* &quot;-&quot;_ ;_ @_ "/>
    <numFmt numFmtId="178" formatCode="0_);[Red]\(0\)"/>
    <numFmt numFmtId="179" formatCode="0.00_);[Red]\(0.00\)"/>
    <numFmt numFmtId="44" formatCode="_ &quot;￥&quot;* #,##0.00_ ;_ &quot;￥&quot;* \-#,##0.00_ ;_ &quot;￥&quot;* &quot;-&quot;??_ ;_ @_ "/>
    <numFmt numFmtId="180" formatCode="0.00000000_ "/>
    <numFmt numFmtId="181" formatCode="0.00_ "/>
    <numFmt numFmtId="182" formatCode="0_ "/>
  </numFmts>
  <fonts count="3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name val="宋体"/>
      <charset val="134"/>
      <scheme val="major"/>
    </font>
    <font>
      <sz val="10"/>
      <name val="宋体"/>
      <charset val="134"/>
      <scheme val="major"/>
    </font>
    <font>
      <b/>
      <sz val="16"/>
      <name val="宋体"/>
      <charset val="134"/>
      <scheme val="major"/>
    </font>
    <font>
      <sz val="1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Helv"/>
      <charset val="134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Tahoma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9" fillId="0" borderId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0" borderId="0"/>
    <xf numFmtId="0" fontId="15" fillId="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27" borderId="12" applyNumberFormat="0" applyFont="0" applyAlignment="0" applyProtection="0">
      <alignment vertical="center"/>
    </xf>
    <xf numFmtId="0" fontId="25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1" fillId="14" borderId="11" applyNumberFormat="0" applyAlignment="0" applyProtection="0">
      <alignment vertical="center"/>
    </xf>
    <xf numFmtId="0" fontId="9" fillId="0" borderId="0">
      <alignment vertical="center"/>
    </xf>
    <xf numFmtId="0" fontId="24" fillId="14" borderId="9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/>
    <xf numFmtId="0" fontId="35" fillId="0" borderId="13" applyNumberFormat="0" applyFill="0" applyAlignment="0" applyProtection="0">
      <alignment vertical="center"/>
    </xf>
    <xf numFmtId="0" fontId="9" fillId="0" borderId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0" borderId="0"/>
    <xf numFmtId="0" fontId="15" fillId="1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2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9" fillId="0" borderId="0"/>
    <xf numFmtId="0" fontId="34" fillId="0" borderId="0">
      <alignment vertical="center"/>
    </xf>
    <xf numFmtId="0" fontId="9" fillId="0" borderId="0" applyProtection="0">
      <alignment vertical="center"/>
    </xf>
    <xf numFmtId="0" fontId="25" fillId="0" borderId="0">
      <alignment vertical="center"/>
    </xf>
    <xf numFmtId="0" fontId="9" fillId="0" borderId="0"/>
    <xf numFmtId="0" fontId="22" fillId="0" borderId="0"/>
    <xf numFmtId="0" fontId="16" fillId="0" borderId="0"/>
    <xf numFmtId="0" fontId="9" fillId="0" borderId="0">
      <alignment vertical="center"/>
    </xf>
    <xf numFmtId="0" fontId="22" fillId="0" borderId="0"/>
    <xf numFmtId="0" fontId="22" fillId="0" borderId="0"/>
    <xf numFmtId="0" fontId="9" fillId="0" borderId="0">
      <alignment vertical="center"/>
    </xf>
    <xf numFmtId="0" fontId="22" fillId="0" borderId="0"/>
  </cellStyleXfs>
  <cellXfs count="59">
    <xf numFmtId="0" fontId="0" fillId="0" borderId="0" xfId="0">
      <alignment vertical="center"/>
    </xf>
    <xf numFmtId="178" fontId="1" fillId="0" borderId="0" xfId="0" applyNumberFormat="1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178" fontId="3" fillId="0" borderId="0" xfId="0" applyNumberFormat="1" applyFont="1" applyAlignment="1">
      <alignment horizontal="center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178" fontId="5" fillId="0" borderId="0" xfId="0" applyNumberFormat="1" applyFont="1" applyFill="1" applyAlignment="1">
      <alignment horizontal="center" vertical="center" wrapText="1"/>
    </xf>
    <xf numFmtId="178" fontId="4" fillId="0" borderId="0" xfId="0" applyNumberFormat="1" applyFont="1" applyAlignment="1">
      <alignment horizontal="center" vertical="center" wrapText="1"/>
    </xf>
    <xf numFmtId="177" fontId="6" fillId="0" borderId="0" xfId="45" applyNumberFormat="1" applyFont="1" applyFill="1" applyAlignment="1">
      <alignment horizontal="center" vertical="center" wrapText="1"/>
    </xf>
    <xf numFmtId="178" fontId="1" fillId="0" borderId="1" xfId="45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8" fontId="2" fillId="0" borderId="2" xfId="45" applyNumberFormat="1" applyFont="1" applyFill="1" applyBorder="1" applyAlignment="1">
      <alignment horizontal="center" vertical="center" wrapText="1"/>
    </xf>
    <xf numFmtId="178" fontId="2" fillId="0" borderId="3" xfId="45" applyNumberFormat="1" applyFont="1" applyFill="1" applyBorder="1" applyAlignment="1">
      <alignment horizontal="center" vertical="center" wrapText="1"/>
    </xf>
    <xf numFmtId="178" fontId="2" fillId="0" borderId="4" xfId="45" applyNumberFormat="1" applyFont="1" applyFill="1" applyBorder="1" applyAlignment="1">
      <alignment horizontal="center" vertical="center" wrapText="1"/>
    </xf>
    <xf numFmtId="178" fontId="2" fillId="0" borderId="1" xfId="45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6" fontId="2" fillId="0" borderId="1" xfId="45" applyNumberFormat="1" applyFont="1" applyFill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60" applyFont="1" applyFill="1" applyBorder="1" applyAlignment="1">
      <alignment horizontal="center" vertical="center" wrapText="1"/>
    </xf>
    <xf numFmtId="0" fontId="1" fillId="0" borderId="1" xfId="63" applyFont="1" applyFill="1" applyBorder="1" applyAlignment="1">
      <alignment horizontal="center" vertical="center" wrapText="1"/>
    </xf>
    <xf numFmtId="0" fontId="1" fillId="0" borderId="1" xfId="6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36" applyNumberFormat="1" applyFont="1" applyFill="1" applyBorder="1" applyAlignment="1">
      <alignment horizontal="center" vertical="center" wrapText="1"/>
    </xf>
    <xf numFmtId="176" fontId="1" fillId="0" borderId="1" xfId="6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178" fontId="1" fillId="0" borderId="1" xfId="28" applyNumberFormat="1" applyFont="1" applyFill="1" applyBorder="1" applyAlignment="1">
      <alignment horizontal="center" vertical="center" wrapText="1"/>
    </xf>
    <xf numFmtId="178" fontId="2" fillId="0" borderId="1" xfId="28" applyNumberFormat="1" applyFont="1" applyFill="1" applyBorder="1" applyAlignment="1">
      <alignment horizontal="center" vertical="center" wrapText="1"/>
    </xf>
    <xf numFmtId="178" fontId="1" fillId="2" borderId="1" xfId="0" applyNumberFormat="1" applyFont="1" applyFill="1" applyBorder="1" applyAlignment="1">
      <alignment horizontal="center" vertical="center" wrapText="1"/>
    </xf>
    <xf numFmtId="181" fontId="2" fillId="0" borderId="1" xfId="0" applyNumberFormat="1" applyFont="1" applyFill="1" applyBorder="1" applyAlignment="1">
      <alignment horizontal="center" vertical="center" wrapText="1"/>
    </xf>
    <xf numFmtId="178" fontId="1" fillId="0" borderId="1" xfId="60" applyNumberFormat="1" applyFont="1" applyFill="1" applyBorder="1" applyAlignment="1">
      <alignment horizontal="center" vertical="center" wrapText="1"/>
    </xf>
    <xf numFmtId="178" fontId="1" fillId="0" borderId="1" xfId="63" applyNumberFormat="1" applyFont="1" applyFill="1" applyBorder="1" applyAlignment="1">
      <alignment horizontal="center" vertical="center" wrapText="1"/>
    </xf>
    <xf numFmtId="182" fontId="2" fillId="0" borderId="1" xfId="0" applyNumberFormat="1" applyFont="1" applyFill="1" applyBorder="1" applyAlignment="1">
      <alignment horizontal="center" vertical="center" wrapText="1"/>
    </xf>
    <xf numFmtId="178" fontId="1" fillId="3" borderId="1" xfId="0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178" fontId="1" fillId="0" borderId="5" xfId="28" applyNumberFormat="1" applyFont="1" applyFill="1" applyBorder="1" applyAlignment="1">
      <alignment horizontal="center" vertical="center" wrapText="1"/>
    </xf>
    <xf numFmtId="178" fontId="1" fillId="0" borderId="6" xfId="28" applyNumberFormat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178" fontId="7" fillId="0" borderId="0" xfId="0" applyNumberFormat="1" applyFont="1">
      <alignment vertical="center"/>
    </xf>
    <xf numFmtId="0" fontId="8" fillId="0" borderId="0" xfId="57" applyFont="1" applyAlignment="1">
      <alignment vertical="center"/>
    </xf>
    <xf numFmtId="0" fontId="9" fillId="0" borderId="0" xfId="57" applyFont="1" applyAlignment="1">
      <alignment vertical="center"/>
    </xf>
    <xf numFmtId="178" fontId="9" fillId="0" borderId="0" xfId="57" applyNumberFormat="1" applyFont="1" applyAlignment="1">
      <alignment vertical="center"/>
    </xf>
    <xf numFmtId="0" fontId="10" fillId="0" borderId="0" xfId="39" applyFont="1" applyAlignment="1">
      <alignment horizontal="center" vertical="center" wrapText="1"/>
    </xf>
    <xf numFmtId="0" fontId="11" fillId="0" borderId="0" xfId="39" applyFont="1" applyBorder="1" applyAlignment="1">
      <alignment horizontal="center" vertical="center" wrapText="1"/>
    </xf>
    <xf numFmtId="178" fontId="11" fillId="0" borderId="0" xfId="39" applyNumberFormat="1" applyFont="1" applyAlignment="1">
      <alignment horizontal="center" vertical="center" wrapText="1"/>
    </xf>
    <xf numFmtId="0" fontId="12" fillId="0" borderId="1" xfId="39" applyFont="1" applyBorder="1" applyAlignment="1">
      <alignment horizontal="center" vertical="center" wrapText="1"/>
    </xf>
    <xf numFmtId="0" fontId="12" fillId="0" borderId="1" xfId="39" applyFont="1" applyFill="1" applyBorder="1" applyAlignment="1">
      <alignment horizontal="center" vertical="center" wrapText="1"/>
    </xf>
    <xf numFmtId="178" fontId="12" fillId="0" borderId="2" xfId="7" applyNumberFormat="1" applyFont="1" applyFill="1" applyBorder="1" applyAlignment="1">
      <alignment horizontal="center" vertical="center" wrapText="1"/>
    </xf>
    <xf numFmtId="178" fontId="12" fillId="0" borderId="3" xfId="7" applyNumberFormat="1" applyFont="1" applyFill="1" applyBorder="1" applyAlignment="1">
      <alignment horizontal="center" vertical="center" wrapText="1"/>
    </xf>
    <xf numFmtId="178" fontId="12" fillId="0" borderId="1" xfId="7" applyNumberFormat="1" applyFont="1" applyFill="1" applyBorder="1" applyAlignment="1">
      <alignment horizontal="center" vertical="center" wrapText="1"/>
    </xf>
    <xf numFmtId="178" fontId="4" fillId="0" borderId="1" xfId="28" applyNumberFormat="1" applyFont="1" applyFill="1" applyBorder="1" applyAlignment="1">
      <alignment horizontal="center" vertical="center" wrapText="1"/>
    </xf>
    <xf numFmtId="0" fontId="12" fillId="0" borderId="1" xfId="57" applyFont="1" applyBorder="1" applyAlignment="1">
      <alignment horizontal="center" vertical="center"/>
    </xf>
    <xf numFmtId="178" fontId="12" fillId="0" borderId="1" xfId="57" applyNumberFormat="1" applyFont="1" applyBorder="1" applyAlignment="1">
      <alignment horizontal="center" vertical="center"/>
    </xf>
    <xf numFmtId="178" fontId="12" fillId="0" borderId="4" xfId="7" applyNumberFormat="1" applyFont="1" applyFill="1" applyBorder="1" applyAlignment="1">
      <alignment horizontal="center" vertical="center" wrapText="1"/>
    </xf>
    <xf numFmtId="178" fontId="12" fillId="0" borderId="1" xfId="57" applyNumberFormat="1" applyFont="1" applyBorder="1" applyAlignment="1">
      <alignment vertical="center" wrapText="1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34_Sheet1_Sheet2" xfId="5"/>
    <cellStyle name="千位分隔[0]" xfId="6" builtinId="6"/>
    <cellStyle name="常规_通达工程西部计划2003-11-20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_2016年渡改桥国省补助资金计划申报表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_通达工程西部计划2003-11-20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_Sheet2" xfId="34"/>
    <cellStyle name="汇总" xfId="35" builtinId="25"/>
    <cellStyle name="常规 27" xfId="36"/>
    <cellStyle name="好" xfId="37" builtinId="26"/>
    <cellStyle name="适中" xfId="38" builtinId="28"/>
    <cellStyle name="常规_（市公路局）2013年8月交通建设项目月报表 2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常规_（市公路局）2013年8月交通建设项目月报表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14" xfId="57"/>
    <cellStyle name="常规 4" xfId="58"/>
    <cellStyle name="常规 34_附表2" xfId="59"/>
    <cellStyle name="常规 5" xfId="60"/>
    <cellStyle name="常规 7" xfId="61"/>
    <cellStyle name="常规_附表2" xfId="62"/>
    <cellStyle name="常规_Sheet1" xfId="63"/>
    <cellStyle name="常规_Sheet1_1" xfId="64"/>
    <cellStyle name="常规_Sheet1_附表2" xfId="65"/>
    <cellStyle name="常规_Sheet2_1" xfId="66"/>
    <cellStyle name="常规_渡改桥" xfId="67"/>
    <cellStyle name="常规_全省明细" xfId="6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H6" sqref="H6"/>
    </sheetView>
  </sheetViews>
  <sheetFormatPr defaultColWidth="9" defaultRowHeight="13.5" outlineLevelRow="5"/>
  <cols>
    <col min="1" max="1" width="7" style="41" customWidth="1"/>
    <col min="2" max="2" width="10" style="41" customWidth="1"/>
    <col min="3" max="3" width="8.875" style="41" customWidth="1"/>
    <col min="4" max="4" width="10.25" style="41" customWidth="1"/>
    <col min="5" max="5" width="10.875" style="41" customWidth="1"/>
    <col min="6" max="6" width="14.25" style="42" customWidth="1"/>
    <col min="7" max="7" width="15.75" style="42" customWidth="1"/>
    <col min="8" max="8" width="11.625" style="42" customWidth="1"/>
    <col min="9" max="9" width="17.25" style="42" customWidth="1"/>
    <col min="10" max="10" width="8.75" style="41" customWidth="1"/>
    <col min="11" max="16384" width="9" style="41"/>
  </cols>
  <sheetData>
    <row r="1" ht="14.25" spans="1:10">
      <c r="A1" s="43" t="s">
        <v>0</v>
      </c>
      <c r="B1" s="44"/>
      <c r="C1" s="44"/>
      <c r="D1" s="44"/>
      <c r="E1" s="44"/>
      <c r="F1" s="45"/>
      <c r="G1" s="45"/>
      <c r="H1" s="45"/>
      <c r="I1" s="45"/>
      <c r="J1" s="44"/>
    </row>
    <row r="2" ht="20.25" spans="1:10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</row>
    <row r="3" spans="1:10">
      <c r="A3" s="47"/>
      <c r="B3" s="47"/>
      <c r="C3" s="47"/>
      <c r="D3" s="47"/>
      <c r="E3" s="47"/>
      <c r="F3" s="48"/>
      <c r="G3" s="48"/>
      <c r="H3" s="48"/>
      <c r="I3" s="48"/>
      <c r="J3" s="47"/>
    </row>
    <row r="4" ht="30.75" customHeight="1" spans="1:10">
      <c r="A4" s="49" t="s">
        <v>2</v>
      </c>
      <c r="B4" s="49" t="s">
        <v>3</v>
      </c>
      <c r="C4" s="50" t="s">
        <v>4</v>
      </c>
      <c r="D4" s="50"/>
      <c r="E4" s="50"/>
      <c r="F4" s="51" t="s">
        <v>5</v>
      </c>
      <c r="G4" s="52"/>
      <c r="H4" s="52"/>
      <c r="I4" s="57"/>
      <c r="J4" s="49" t="s">
        <v>6</v>
      </c>
    </row>
    <row r="5" ht="41.25" customHeight="1" spans="1:10">
      <c r="A5" s="49"/>
      <c r="B5" s="49"/>
      <c r="C5" s="49" t="s">
        <v>7</v>
      </c>
      <c r="D5" s="49" t="s">
        <v>8</v>
      </c>
      <c r="E5" s="50" t="s">
        <v>9</v>
      </c>
      <c r="F5" s="53" t="s">
        <v>10</v>
      </c>
      <c r="G5" s="54" t="s">
        <v>11</v>
      </c>
      <c r="H5" s="54" t="s">
        <v>12</v>
      </c>
      <c r="I5" s="54" t="s">
        <v>13</v>
      </c>
      <c r="J5" s="49"/>
    </row>
    <row r="6" ht="24.75" customHeight="1" spans="1:10">
      <c r="A6" s="55">
        <v>4</v>
      </c>
      <c r="B6" s="55" t="s">
        <v>14</v>
      </c>
      <c r="C6" s="56">
        <f>D6+E6</f>
        <v>15</v>
      </c>
      <c r="D6" s="56">
        <v>15</v>
      </c>
      <c r="E6" s="56"/>
      <c r="F6" s="56">
        <f>明细表12.10!V7+明细表12.10!V13</f>
        <v>2057.995</v>
      </c>
      <c r="G6" s="56">
        <f>明细表12.10!AB7+明细表12.10!AB13</f>
        <v>1458.8</v>
      </c>
      <c r="H6" s="56"/>
      <c r="I6" s="56">
        <f>明细表12.10!AD7+明细表12.10!AD13</f>
        <v>599.195</v>
      </c>
      <c r="J6" s="58"/>
    </row>
  </sheetData>
  <mergeCells count="7">
    <mergeCell ref="A2:J2"/>
    <mergeCell ref="A3:E3"/>
    <mergeCell ref="C4:E4"/>
    <mergeCell ref="F4:I4"/>
    <mergeCell ref="A4:A5"/>
    <mergeCell ref="B4:B5"/>
    <mergeCell ref="J4:J5"/>
  </mergeCells>
  <printOptions horizontalCentered="1"/>
  <pageMargins left="0.708661417322835" right="0.708661417322835" top="0.590551181102362" bottom="0.511811023622047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24"/>
  <sheetViews>
    <sheetView tabSelected="1" workbookViewId="0">
      <pane xSplit="11" ySplit="4" topLeftCell="L5" activePane="bottomRight" state="frozen"/>
      <selection/>
      <selection pane="topRight"/>
      <selection pane="bottomLeft"/>
      <selection pane="bottomRight" activeCell="P6" sqref="P6"/>
    </sheetView>
  </sheetViews>
  <sheetFormatPr defaultColWidth="9" defaultRowHeight="13.5"/>
  <cols>
    <col min="1" max="1" width="5.375" style="4" customWidth="1"/>
    <col min="2" max="2" width="6.75" style="4" customWidth="1"/>
    <col min="3" max="3" width="6.625" style="4" customWidth="1"/>
    <col min="4" max="4" width="11.875" style="4" customWidth="1"/>
    <col min="5" max="5" width="14.25" style="4" hidden="1" customWidth="1"/>
    <col min="6" max="6" width="13.5" style="4" hidden="1" customWidth="1"/>
    <col min="7" max="8" width="7" style="5" hidden="1" customWidth="1"/>
    <col min="9" max="9" width="11.125" style="5" hidden="1" customWidth="1"/>
    <col min="10" max="10" width="8" style="5" hidden="1" customWidth="1"/>
    <col min="11" max="11" width="9.625" style="5" hidden="1" customWidth="1"/>
    <col min="12" max="12" width="8.375" style="4" customWidth="1"/>
    <col min="13" max="13" width="6.75" style="4" customWidth="1"/>
    <col min="14" max="14" width="6.25" style="4" customWidth="1"/>
    <col min="15" max="15" width="12" style="4" customWidth="1"/>
    <col min="16" max="16" width="7.875" style="4" customWidth="1"/>
    <col min="17" max="17" width="4.875" style="4" hidden="1" customWidth="1"/>
    <col min="18" max="18" width="9.25" style="4" hidden="1" customWidth="1"/>
    <col min="19" max="19" width="11.125" style="4" hidden="1" customWidth="1"/>
    <col min="20" max="20" width="7.5" style="4" hidden="1" customWidth="1"/>
    <col min="21" max="21" width="11.5" style="4" hidden="1" customWidth="1"/>
    <col min="22" max="22" width="8.375" style="4" customWidth="1"/>
    <col min="23" max="23" width="9.125" style="4" hidden="1" customWidth="1"/>
    <col min="24" max="24" width="8.875" style="4" hidden="1" customWidth="1"/>
    <col min="25" max="26" width="11.125" style="4" hidden="1" customWidth="1"/>
    <col min="27" max="27" width="9.375" style="4" hidden="1" customWidth="1"/>
    <col min="28" max="28" width="8.125" style="4" customWidth="1"/>
    <col min="29" max="29" width="7.125" style="4" customWidth="1"/>
    <col min="30" max="30" width="8" style="4" customWidth="1"/>
    <col min="31" max="31" width="17.375" style="4" customWidth="1"/>
    <col min="32" max="32" width="9" style="6"/>
    <col min="33" max="33" width="14.75" style="6" customWidth="1"/>
    <col min="34" max="16384" width="9" style="6"/>
  </cols>
  <sheetData>
    <row r="1" spans="1:2">
      <c r="A1" s="5" t="s">
        <v>15</v>
      </c>
      <c r="B1" s="5"/>
    </row>
    <row r="2" ht="22.5" customHeight="1" spans="1:31">
      <c r="A2" s="7" t="s">
        <v>16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="1" customFormat="1" ht="24" customHeight="1" spans="1:31">
      <c r="A3" s="8" t="s">
        <v>2</v>
      </c>
      <c r="B3" s="8" t="s">
        <v>3</v>
      </c>
      <c r="C3" s="8" t="s">
        <v>17</v>
      </c>
      <c r="D3" s="8" t="s">
        <v>18</v>
      </c>
      <c r="E3" s="8" t="s">
        <v>19</v>
      </c>
      <c r="F3" s="8"/>
      <c r="G3" s="9" t="s">
        <v>20</v>
      </c>
      <c r="H3" s="9" t="s">
        <v>21</v>
      </c>
      <c r="I3" s="9" t="s">
        <v>22</v>
      </c>
      <c r="J3" s="9" t="s">
        <v>23</v>
      </c>
      <c r="K3" s="9" t="s">
        <v>24</v>
      </c>
      <c r="L3" s="29" t="s">
        <v>25</v>
      </c>
      <c r="M3" s="29"/>
      <c r="N3" s="29"/>
      <c r="O3" s="29"/>
      <c r="P3" s="29"/>
      <c r="Q3" s="29" t="s">
        <v>26</v>
      </c>
      <c r="R3" s="29" t="s">
        <v>27</v>
      </c>
      <c r="S3" s="29" t="s">
        <v>28</v>
      </c>
      <c r="T3" s="29" t="s">
        <v>29</v>
      </c>
      <c r="U3" s="29" t="s">
        <v>28</v>
      </c>
      <c r="V3" s="29" t="s">
        <v>10</v>
      </c>
      <c r="W3" s="29" t="s">
        <v>30</v>
      </c>
      <c r="X3" s="29" t="s">
        <v>31</v>
      </c>
      <c r="Y3" s="29" t="s">
        <v>32</v>
      </c>
      <c r="Z3" s="29"/>
      <c r="AA3" s="29" t="s">
        <v>33</v>
      </c>
      <c r="AB3" s="39" t="s">
        <v>11</v>
      </c>
      <c r="AC3" s="39" t="s">
        <v>12</v>
      </c>
      <c r="AD3" s="39" t="s">
        <v>34</v>
      </c>
      <c r="AE3" s="8" t="s">
        <v>6</v>
      </c>
    </row>
    <row r="4" s="1" customFormat="1" ht="36.75" customHeight="1" spans="1:31">
      <c r="A4" s="8"/>
      <c r="B4" s="8"/>
      <c r="C4" s="8"/>
      <c r="D4" s="8"/>
      <c r="E4" s="8" t="s">
        <v>35</v>
      </c>
      <c r="F4" s="8" t="s">
        <v>36</v>
      </c>
      <c r="G4" s="9"/>
      <c r="H4" s="9"/>
      <c r="I4" s="9"/>
      <c r="J4" s="9"/>
      <c r="K4" s="9"/>
      <c r="L4" s="29" t="s">
        <v>37</v>
      </c>
      <c r="M4" s="29" t="s">
        <v>38</v>
      </c>
      <c r="N4" s="29" t="s">
        <v>39</v>
      </c>
      <c r="O4" s="29" t="s">
        <v>40</v>
      </c>
      <c r="P4" s="29" t="s">
        <v>41</v>
      </c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40"/>
      <c r="AC4" s="40"/>
      <c r="AD4" s="40"/>
      <c r="AE4" s="8"/>
    </row>
    <row r="5" s="2" customFormat="1" ht="32.25" customHeight="1" spans="1:31">
      <c r="A5" s="10" t="s">
        <v>42</v>
      </c>
      <c r="B5" s="11"/>
      <c r="C5" s="12"/>
      <c r="D5" s="13"/>
      <c r="E5" s="13"/>
      <c r="F5" s="13"/>
      <c r="G5" s="14"/>
      <c r="H5" s="14"/>
      <c r="I5" s="14"/>
      <c r="J5" s="14"/>
      <c r="K5" s="14"/>
      <c r="L5" s="30"/>
      <c r="M5" s="30"/>
      <c r="N5" s="30"/>
      <c r="O5" s="30"/>
      <c r="P5" s="30">
        <f>P7+P13</f>
        <v>3477.5912</v>
      </c>
      <c r="Q5" s="30">
        <f t="shared" ref="Q5:AD5" si="0">Q7+Q13</f>
        <v>15</v>
      </c>
      <c r="R5" s="30">
        <f t="shared" si="0"/>
        <v>46500</v>
      </c>
      <c r="S5" s="30">
        <f t="shared" si="0"/>
        <v>2057.995</v>
      </c>
      <c r="T5" s="30">
        <f t="shared" si="0"/>
        <v>12.75</v>
      </c>
      <c r="U5" s="30">
        <f t="shared" si="0"/>
        <v>2956.00793</v>
      </c>
      <c r="V5" s="30">
        <f t="shared" si="0"/>
        <v>2057.995</v>
      </c>
      <c r="W5" s="30">
        <f t="shared" si="0"/>
        <v>0</v>
      </c>
      <c r="X5" s="30">
        <f t="shared" si="0"/>
        <v>1067.8</v>
      </c>
      <c r="Y5" s="30">
        <f t="shared" si="0"/>
        <v>828.372</v>
      </c>
      <c r="Z5" s="30">
        <f t="shared" si="0"/>
        <v>390.406090301003</v>
      </c>
      <c r="AA5" s="30">
        <f t="shared" si="0"/>
        <v>391</v>
      </c>
      <c r="AB5" s="30">
        <f t="shared" si="0"/>
        <v>1458.8</v>
      </c>
      <c r="AC5" s="30">
        <f t="shared" si="0"/>
        <v>0</v>
      </c>
      <c r="AD5" s="30">
        <f t="shared" si="0"/>
        <v>599.195</v>
      </c>
      <c r="AE5" s="13"/>
    </row>
    <row r="6" s="2" customFormat="1" ht="49.5" customHeight="1" spans="1:31">
      <c r="A6" s="13" t="s">
        <v>43</v>
      </c>
      <c r="B6" s="13" t="s">
        <v>44</v>
      </c>
      <c r="C6" s="13"/>
      <c r="D6" s="13"/>
      <c r="E6" s="15"/>
      <c r="F6" s="15"/>
      <c r="G6" s="14"/>
      <c r="H6" s="14"/>
      <c r="I6" s="14"/>
      <c r="J6" s="14"/>
      <c r="K6" s="14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</row>
    <row r="7" s="2" customFormat="1" ht="32.25" customHeight="1" spans="1:31">
      <c r="A7" s="13"/>
      <c r="B7" s="13" t="s">
        <v>45</v>
      </c>
      <c r="C7" s="16"/>
      <c r="D7" s="16"/>
      <c r="E7" s="17"/>
      <c r="F7" s="17"/>
      <c r="G7" s="16"/>
      <c r="H7" s="16"/>
      <c r="I7" s="16"/>
      <c r="J7" s="16"/>
      <c r="K7" s="16"/>
      <c r="L7" s="16"/>
      <c r="M7" s="16"/>
      <c r="N7" s="16"/>
      <c r="O7" s="16"/>
      <c r="P7" s="30">
        <f t="shared" ref="P7:AD7" si="1">SUM(P8:P11)</f>
        <v>1401.1858</v>
      </c>
      <c r="Q7" s="30">
        <f t="shared" si="1"/>
        <v>4</v>
      </c>
      <c r="R7" s="30">
        <f t="shared" si="1"/>
        <v>13500</v>
      </c>
      <c r="S7" s="30">
        <f t="shared" si="1"/>
        <v>935.172</v>
      </c>
      <c r="T7" s="30">
        <f t="shared" si="1"/>
        <v>3.4</v>
      </c>
      <c r="U7" s="30">
        <f t="shared" si="1"/>
        <v>1191.00793</v>
      </c>
      <c r="V7" s="30">
        <f t="shared" si="1"/>
        <v>935.172</v>
      </c>
      <c r="W7" s="30">
        <f t="shared" si="1"/>
        <v>0</v>
      </c>
      <c r="X7" s="30">
        <f t="shared" si="1"/>
        <v>468</v>
      </c>
      <c r="Y7" s="30">
        <f t="shared" si="1"/>
        <v>467.172</v>
      </c>
      <c r="Z7" s="30">
        <f t="shared" si="1"/>
        <v>220.174986622074</v>
      </c>
      <c r="AA7" s="30">
        <f t="shared" si="1"/>
        <v>220</v>
      </c>
      <c r="AB7" s="30">
        <f>X7+AA7</f>
        <v>688</v>
      </c>
      <c r="AC7" s="30">
        <f t="shared" si="1"/>
        <v>0</v>
      </c>
      <c r="AD7" s="30">
        <f t="shared" si="1"/>
        <v>247.172</v>
      </c>
      <c r="AE7" s="16"/>
    </row>
    <row r="8" s="1" customFormat="1" ht="37.5" customHeight="1" spans="1:31">
      <c r="A8" s="8">
        <v>1</v>
      </c>
      <c r="B8" s="8" t="s">
        <v>45</v>
      </c>
      <c r="C8" s="18" t="s">
        <v>46</v>
      </c>
      <c r="D8" s="9" t="s">
        <v>47</v>
      </c>
      <c r="E8" s="19">
        <v>111.41796326</v>
      </c>
      <c r="F8" s="19">
        <v>27.48518356</v>
      </c>
      <c r="G8" s="9" t="s">
        <v>48</v>
      </c>
      <c r="H8" s="18"/>
      <c r="I8" s="9" t="s">
        <v>49</v>
      </c>
      <c r="J8" s="9" t="s">
        <v>50</v>
      </c>
      <c r="K8" s="18"/>
      <c r="L8" s="9">
        <v>71.64</v>
      </c>
      <c r="M8" s="9">
        <v>7</v>
      </c>
      <c r="N8" s="9"/>
      <c r="O8" s="31" t="s">
        <v>51</v>
      </c>
      <c r="P8" s="18">
        <v>249</v>
      </c>
      <c r="Q8" s="31">
        <v>1</v>
      </c>
      <c r="R8" s="18">
        <v>3000</v>
      </c>
      <c r="S8" s="29">
        <f>L8*M8*R8/10000</f>
        <v>150.444</v>
      </c>
      <c r="T8" s="18">
        <v>0.85</v>
      </c>
      <c r="U8" s="29">
        <f>P8*T8</f>
        <v>211.65</v>
      </c>
      <c r="V8" s="29">
        <f>MIN(S8,U8)</f>
        <v>150.444</v>
      </c>
      <c r="W8" s="29"/>
      <c r="X8" s="29">
        <v>75</v>
      </c>
      <c r="Y8" s="29">
        <f>V8-X8</f>
        <v>75.444</v>
      </c>
      <c r="Z8" s="29">
        <f>Y8/7176*3382</f>
        <v>35.5562441471572</v>
      </c>
      <c r="AA8" s="29">
        <f>ROUND(Z8,0)-1</f>
        <v>35</v>
      </c>
      <c r="AB8" s="29">
        <f>X8+AA8</f>
        <v>110</v>
      </c>
      <c r="AC8" s="29"/>
      <c r="AD8" s="29">
        <f>V8-X8-AA8</f>
        <v>40.444</v>
      </c>
      <c r="AE8" s="8"/>
    </row>
    <row r="9" s="1" customFormat="1" ht="37.5" customHeight="1" spans="1:31">
      <c r="A9" s="8">
        <v>2</v>
      </c>
      <c r="B9" s="8" t="s">
        <v>45</v>
      </c>
      <c r="C9" s="18" t="s">
        <v>46</v>
      </c>
      <c r="D9" s="9" t="s">
        <v>52</v>
      </c>
      <c r="E9" s="19">
        <v>111.33408123</v>
      </c>
      <c r="F9" s="19">
        <v>27.29027321</v>
      </c>
      <c r="G9" s="9" t="s">
        <v>53</v>
      </c>
      <c r="H9" s="18"/>
      <c r="I9" s="9" t="s">
        <v>54</v>
      </c>
      <c r="J9" s="9" t="s">
        <v>55</v>
      </c>
      <c r="K9" s="18"/>
      <c r="L9" s="9">
        <v>112.14</v>
      </c>
      <c r="M9" s="9">
        <v>7.5</v>
      </c>
      <c r="N9" s="9"/>
      <c r="O9" s="31" t="s">
        <v>56</v>
      </c>
      <c r="P9" s="18">
        <v>494.6871</v>
      </c>
      <c r="Q9" s="31">
        <v>1</v>
      </c>
      <c r="R9" s="18">
        <v>3500</v>
      </c>
      <c r="S9" s="29">
        <f>L9*M9*R9/10000</f>
        <v>294.3675</v>
      </c>
      <c r="T9" s="18">
        <v>0.85</v>
      </c>
      <c r="U9" s="29">
        <f>P9*T9</f>
        <v>420.484035</v>
      </c>
      <c r="V9" s="29">
        <f>MIN(S9,U9)</f>
        <v>294.3675</v>
      </c>
      <c r="W9" s="29"/>
      <c r="X9" s="29">
        <v>147</v>
      </c>
      <c r="Y9" s="29">
        <f>V9-X9</f>
        <v>147.3675</v>
      </c>
      <c r="Z9" s="29">
        <f>Y9/7176*3382</f>
        <v>69.4533005852843</v>
      </c>
      <c r="AA9" s="29">
        <f>ROUND(Z9,0)</f>
        <v>69</v>
      </c>
      <c r="AB9" s="29">
        <f>X9+AA9</f>
        <v>216</v>
      </c>
      <c r="AC9" s="29"/>
      <c r="AD9" s="29">
        <f>V9-X9-AA9</f>
        <v>78.3675</v>
      </c>
      <c r="AE9" s="8"/>
    </row>
    <row r="10" s="1" customFormat="1" ht="37.5" customHeight="1" spans="1:31">
      <c r="A10" s="8">
        <v>3</v>
      </c>
      <c r="B10" s="8" t="s">
        <v>45</v>
      </c>
      <c r="C10" s="18" t="s">
        <v>46</v>
      </c>
      <c r="D10" s="9" t="s">
        <v>57</v>
      </c>
      <c r="E10" s="19">
        <v>111.26334358</v>
      </c>
      <c r="F10" s="19">
        <v>27.31945785</v>
      </c>
      <c r="G10" s="9" t="s">
        <v>58</v>
      </c>
      <c r="H10" s="18"/>
      <c r="I10" s="9" t="s">
        <v>59</v>
      </c>
      <c r="J10" s="9" t="s">
        <v>55</v>
      </c>
      <c r="K10" s="18"/>
      <c r="L10" s="9">
        <v>105.48</v>
      </c>
      <c r="M10" s="9">
        <v>6.75</v>
      </c>
      <c r="N10" s="9"/>
      <c r="O10" s="31" t="s">
        <v>60</v>
      </c>
      <c r="P10" s="18">
        <v>342.3997</v>
      </c>
      <c r="Q10" s="31">
        <v>1</v>
      </c>
      <c r="R10" s="18">
        <v>3500</v>
      </c>
      <c r="S10" s="29">
        <f>L10*M10*R10/10000</f>
        <v>249.1965</v>
      </c>
      <c r="T10" s="18">
        <v>0.85</v>
      </c>
      <c r="U10" s="29">
        <f>P10*T10</f>
        <v>291.039745</v>
      </c>
      <c r="V10" s="29">
        <f>MIN(S10,U10)</f>
        <v>249.1965</v>
      </c>
      <c r="W10" s="29"/>
      <c r="X10" s="29">
        <v>125</v>
      </c>
      <c r="Y10" s="29">
        <f>V10-X10</f>
        <v>124.1965</v>
      </c>
      <c r="Z10" s="29">
        <f>Y10/7176*3382</f>
        <v>58.5329658584169</v>
      </c>
      <c r="AA10" s="29">
        <f>ROUND(Z10,0)</f>
        <v>59</v>
      </c>
      <c r="AB10" s="29">
        <f>X10+AA10</f>
        <v>184</v>
      </c>
      <c r="AC10" s="29"/>
      <c r="AD10" s="29">
        <f>V10-X10-AA10</f>
        <v>65.1965</v>
      </c>
      <c r="AE10" s="8"/>
    </row>
    <row r="11" s="1" customFormat="1" ht="37.5" customHeight="1" spans="1:31">
      <c r="A11" s="8">
        <v>4</v>
      </c>
      <c r="B11" s="8" t="s">
        <v>45</v>
      </c>
      <c r="C11" s="18" t="s">
        <v>46</v>
      </c>
      <c r="D11" s="9" t="s">
        <v>61</v>
      </c>
      <c r="E11" s="19">
        <v>111.30704126</v>
      </c>
      <c r="F11" s="19">
        <v>27.32045426</v>
      </c>
      <c r="G11" s="9" t="s">
        <v>58</v>
      </c>
      <c r="H11" s="18"/>
      <c r="I11" s="9" t="s">
        <v>62</v>
      </c>
      <c r="J11" s="9" t="s">
        <v>55</v>
      </c>
      <c r="K11" s="18"/>
      <c r="L11" s="9">
        <v>102.08</v>
      </c>
      <c r="M11" s="9">
        <v>6.75</v>
      </c>
      <c r="N11" s="9"/>
      <c r="O11" s="31" t="s">
        <v>63</v>
      </c>
      <c r="P11" s="18">
        <v>315.099</v>
      </c>
      <c r="Q11" s="31">
        <v>1</v>
      </c>
      <c r="R11" s="18">
        <v>3500</v>
      </c>
      <c r="S11" s="29">
        <f>L11*M11*R11/10000</f>
        <v>241.164</v>
      </c>
      <c r="T11" s="18">
        <v>0.85</v>
      </c>
      <c r="U11" s="29">
        <f>P11*T11</f>
        <v>267.83415</v>
      </c>
      <c r="V11" s="29">
        <f>MIN(S11,U11)</f>
        <v>241.164</v>
      </c>
      <c r="W11" s="29"/>
      <c r="X11" s="29">
        <v>121</v>
      </c>
      <c r="Y11" s="29">
        <f>V11-X11</f>
        <v>120.164</v>
      </c>
      <c r="Z11" s="29">
        <f>Y11/7176*3382</f>
        <v>56.6324760312151</v>
      </c>
      <c r="AA11" s="29">
        <f>ROUND(Z11,0)</f>
        <v>57</v>
      </c>
      <c r="AB11" s="29">
        <f>X11+AA11</f>
        <v>178</v>
      </c>
      <c r="AC11" s="29"/>
      <c r="AD11" s="29">
        <f>V11-X11-AA11</f>
        <v>63.164</v>
      </c>
      <c r="AE11" s="8"/>
    </row>
    <row r="12" s="1" customFormat="1" ht="31.5" customHeight="1" spans="1:31">
      <c r="A12" s="14" t="s">
        <v>64</v>
      </c>
      <c r="B12" s="13" t="s">
        <v>65</v>
      </c>
      <c r="C12" s="13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30"/>
      <c r="AC12" s="14"/>
      <c r="AD12" s="14"/>
      <c r="AE12" s="9"/>
    </row>
    <row r="13" s="1" customFormat="1" ht="31.5" customHeight="1" spans="1:31">
      <c r="A13" s="9"/>
      <c r="B13" s="20" t="s">
        <v>45</v>
      </c>
      <c r="C13" s="20"/>
      <c r="D13" s="20"/>
      <c r="E13" s="20"/>
      <c r="F13" s="20"/>
      <c r="G13" s="20"/>
      <c r="H13" s="20"/>
      <c r="I13" s="20"/>
      <c r="J13" s="20"/>
      <c r="K13" s="20"/>
      <c r="L13" s="32"/>
      <c r="M13" s="32"/>
      <c r="N13" s="32"/>
      <c r="O13" s="20"/>
      <c r="P13" s="30">
        <f t="shared" ref="P13:AD13" si="2">SUM(P14:P24)</f>
        <v>2076.4054</v>
      </c>
      <c r="Q13" s="30">
        <f t="shared" si="2"/>
        <v>11</v>
      </c>
      <c r="R13" s="30">
        <f t="shared" si="2"/>
        <v>33000</v>
      </c>
      <c r="S13" s="30">
        <f t="shared" si="2"/>
        <v>1122.823</v>
      </c>
      <c r="T13" s="30">
        <f t="shared" si="2"/>
        <v>9.35</v>
      </c>
      <c r="U13" s="30">
        <f t="shared" si="2"/>
        <v>1765</v>
      </c>
      <c r="V13" s="30">
        <f t="shared" si="2"/>
        <v>1122.823</v>
      </c>
      <c r="W13" s="30">
        <f t="shared" si="2"/>
        <v>0</v>
      </c>
      <c r="X13" s="30">
        <f t="shared" si="2"/>
        <v>599.8</v>
      </c>
      <c r="Y13" s="30">
        <f t="shared" si="2"/>
        <v>361.2</v>
      </c>
      <c r="Z13" s="30">
        <f t="shared" si="2"/>
        <v>170.23110367893</v>
      </c>
      <c r="AA13" s="30">
        <f t="shared" si="2"/>
        <v>171</v>
      </c>
      <c r="AB13" s="30">
        <f t="shared" ref="AB13:AB45" si="3">X13+AA13</f>
        <v>770.8</v>
      </c>
      <c r="AC13" s="30">
        <f t="shared" si="2"/>
        <v>0</v>
      </c>
      <c r="AD13" s="30">
        <f t="shared" si="2"/>
        <v>352.023</v>
      </c>
      <c r="AE13" s="9"/>
    </row>
    <row r="14" s="3" customFormat="1" ht="31.5" customHeight="1" spans="1:31">
      <c r="A14" s="8">
        <v>5</v>
      </c>
      <c r="B14" s="21" t="s">
        <v>45</v>
      </c>
      <c r="C14" s="21" t="s">
        <v>66</v>
      </c>
      <c r="D14" s="21" t="s">
        <v>67</v>
      </c>
      <c r="E14" s="20"/>
      <c r="F14" s="20"/>
      <c r="G14" s="21" t="s">
        <v>68</v>
      </c>
      <c r="H14" s="21" t="s">
        <v>69</v>
      </c>
      <c r="I14" s="21" t="s">
        <v>70</v>
      </c>
      <c r="J14" s="21" t="s">
        <v>71</v>
      </c>
      <c r="K14" s="20"/>
      <c r="L14" s="21">
        <v>107.12</v>
      </c>
      <c r="M14" s="21">
        <v>7.5</v>
      </c>
      <c r="N14" s="21">
        <v>7.5</v>
      </c>
      <c r="O14" s="21" t="s">
        <v>72</v>
      </c>
      <c r="P14" s="9">
        <v>378.8601</v>
      </c>
      <c r="Q14" s="35">
        <v>1</v>
      </c>
      <c r="R14" s="14">
        <v>3000</v>
      </c>
      <c r="S14" s="36">
        <f>L14*N14*R14/10000</f>
        <v>241.02</v>
      </c>
      <c r="T14" s="37">
        <v>0.85</v>
      </c>
      <c r="U14" s="9">
        <f t="shared" ref="U14:U27" si="4">ROUND(P14*T14,0)</f>
        <v>322</v>
      </c>
      <c r="V14" s="9">
        <f t="shared" ref="V13:V74" si="5">MIN(S14,U14)</f>
        <v>241.02</v>
      </c>
      <c r="W14" s="14"/>
      <c r="X14" s="14">
        <v>121</v>
      </c>
      <c r="Y14" s="14"/>
      <c r="Z14" s="29"/>
      <c r="AA14" s="14"/>
      <c r="AB14" s="29">
        <f t="shared" si="3"/>
        <v>121</v>
      </c>
      <c r="AC14" s="29"/>
      <c r="AD14" s="29">
        <f>V14-X14-AA14</f>
        <v>120.02</v>
      </c>
      <c r="AE14" s="9"/>
    </row>
    <row r="15" s="3" customFormat="1" ht="31.5" customHeight="1" spans="1:31">
      <c r="A15" s="8">
        <v>6</v>
      </c>
      <c r="B15" s="21" t="s">
        <v>45</v>
      </c>
      <c r="C15" s="22" t="s">
        <v>73</v>
      </c>
      <c r="D15" s="23" t="s">
        <v>74</v>
      </c>
      <c r="E15" s="20"/>
      <c r="F15" s="20"/>
      <c r="G15" s="23" t="s">
        <v>75</v>
      </c>
      <c r="H15" s="24" t="s">
        <v>76</v>
      </c>
      <c r="I15" s="23" t="s">
        <v>77</v>
      </c>
      <c r="J15" s="23" t="s">
        <v>78</v>
      </c>
      <c r="K15" s="20"/>
      <c r="L15" s="23">
        <v>18.84</v>
      </c>
      <c r="M15" s="22">
        <v>5.5</v>
      </c>
      <c r="N15" s="22">
        <v>5.5</v>
      </c>
      <c r="O15" s="21" t="s">
        <v>79</v>
      </c>
      <c r="P15" s="33">
        <v>125.0306</v>
      </c>
      <c r="Q15" s="35">
        <v>1</v>
      </c>
      <c r="R15" s="14">
        <v>3000</v>
      </c>
      <c r="S15" s="36">
        <f t="shared" ref="S15:S16" si="6">L15*N15*R15/10000</f>
        <v>31.086</v>
      </c>
      <c r="T15" s="37">
        <v>0.85</v>
      </c>
      <c r="U15" s="9">
        <f t="shared" si="4"/>
        <v>106</v>
      </c>
      <c r="V15" s="9">
        <f t="shared" si="5"/>
        <v>31.086</v>
      </c>
      <c r="W15" s="14"/>
      <c r="X15" s="14">
        <v>16</v>
      </c>
      <c r="Y15" s="14"/>
      <c r="Z15" s="29"/>
      <c r="AA15" s="14"/>
      <c r="AB15" s="29">
        <f t="shared" si="3"/>
        <v>16</v>
      </c>
      <c r="AC15" s="29"/>
      <c r="AD15" s="29">
        <f t="shared" ref="AD15:AD24" si="7">V15-X15-AA15</f>
        <v>15.086</v>
      </c>
      <c r="AE15" s="9"/>
    </row>
    <row r="16" s="3" customFormat="1" ht="31.5" customHeight="1" spans="1:31">
      <c r="A16" s="8">
        <v>7</v>
      </c>
      <c r="B16" s="21" t="s">
        <v>45</v>
      </c>
      <c r="C16" s="21" t="s">
        <v>80</v>
      </c>
      <c r="D16" s="21" t="s">
        <v>81</v>
      </c>
      <c r="E16" s="20"/>
      <c r="F16" s="20"/>
      <c r="G16" s="21" t="s">
        <v>82</v>
      </c>
      <c r="H16" s="21" t="s">
        <v>83</v>
      </c>
      <c r="I16" s="21" t="s">
        <v>84</v>
      </c>
      <c r="J16" s="21" t="s">
        <v>85</v>
      </c>
      <c r="K16" s="20"/>
      <c r="L16" s="21">
        <v>28.06</v>
      </c>
      <c r="M16" s="21">
        <v>6.5</v>
      </c>
      <c r="N16" s="21">
        <v>6.5</v>
      </c>
      <c r="O16" s="21" t="s">
        <v>86</v>
      </c>
      <c r="P16" s="9">
        <v>109.5597</v>
      </c>
      <c r="Q16" s="35">
        <v>1</v>
      </c>
      <c r="R16" s="14">
        <v>3000</v>
      </c>
      <c r="S16" s="36">
        <f t="shared" si="6"/>
        <v>54.717</v>
      </c>
      <c r="T16" s="37">
        <v>0.85</v>
      </c>
      <c r="U16" s="9">
        <f t="shared" si="4"/>
        <v>93</v>
      </c>
      <c r="V16" s="9">
        <f t="shared" si="5"/>
        <v>54.717</v>
      </c>
      <c r="W16" s="14"/>
      <c r="X16" s="14">
        <v>28</v>
      </c>
      <c r="Y16" s="14"/>
      <c r="Z16" s="29"/>
      <c r="AA16" s="14"/>
      <c r="AB16" s="29">
        <f t="shared" si="3"/>
        <v>28</v>
      </c>
      <c r="AC16" s="29"/>
      <c r="AD16" s="29">
        <f t="shared" si="7"/>
        <v>26.717</v>
      </c>
      <c r="AE16" s="9"/>
    </row>
    <row r="17" s="1" customFormat="1" ht="31.5" customHeight="1" spans="1:31">
      <c r="A17" s="8">
        <v>8</v>
      </c>
      <c r="B17" s="21" t="s">
        <v>45</v>
      </c>
      <c r="C17" s="21" t="s">
        <v>66</v>
      </c>
      <c r="D17" s="21" t="s">
        <v>87</v>
      </c>
      <c r="E17" s="19">
        <v>111.50368417</v>
      </c>
      <c r="F17" s="19">
        <v>26.96583972</v>
      </c>
      <c r="G17" s="21" t="s">
        <v>88</v>
      </c>
      <c r="H17" s="21" t="s">
        <v>69</v>
      </c>
      <c r="I17" s="21" t="s">
        <v>89</v>
      </c>
      <c r="J17" s="21" t="s">
        <v>90</v>
      </c>
      <c r="K17" s="21"/>
      <c r="L17" s="21">
        <v>36.84</v>
      </c>
      <c r="M17" s="21">
        <v>5.5</v>
      </c>
      <c r="N17" s="21"/>
      <c r="O17" s="21" t="s">
        <v>91</v>
      </c>
      <c r="P17" s="9">
        <v>91.6169</v>
      </c>
      <c r="Q17" s="21">
        <v>1</v>
      </c>
      <c r="R17" s="9">
        <v>3000</v>
      </c>
      <c r="S17" s="9">
        <f t="shared" ref="S17:S21" si="8">ROUND(L17*M17*R17/10000,)</f>
        <v>61</v>
      </c>
      <c r="T17" s="38">
        <v>0.85</v>
      </c>
      <c r="U17" s="9">
        <f t="shared" si="4"/>
        <v>78</v>
      </c>
      <c r="V17" s="9">
        <f t="shared" si="5"/>
        <v>61</v>
      </c>
      <c r="W17" s="9"/>
      <c r="X17" s="9">
        <v>31</v>
      </c>
      <c r="Y17" s="9">
        <f t="shared" ref="Y17:Y74" si="9">V17-X17</f>
        <v>30</v>
      </c>
      <c r="Z17" s="29">
        <f t="shared" ref="Z13:Z36" si="10">Y17/7176*3382</f>
        <v>14.1387959866221</v>
      </c>
      <c r="AA17" s="9">
        <f t="shared" ref="AA13:AA74" si="11">ROUND(Z17,0)</f>
        <v>14</v>
      </c>
      <c r="AB17" s="29">
        <f t="shared" si="3"/>
        <v>45</v>
      </c>
      <c r="AC17" s="29"/>
      <c r="AD17" s="29">
        <f t="shared" si="7"/>
        <v>16</v>
      </c>
      <c r="AE17" s="9"/>
    </row>
    <row r="18" s="1" customFormat="1" ht="31.5" customHeight="1" spans="1:31">
      <c r="A18" s="8">
        <v>9</v>
      </c>
      <c r="B18" s="21" t="s">
        <v>45</v>
      </c>
      <c r="C18" s="21" t="s">
        <v>73</v>
      </c>
      <c r="D18" s="25" t="s">
        <v>92</v>
      </c>
      <c r="E18" s="19">
        <v>110.692043</v>
      </c>
      <c r="F18" s="19">
        <v>27.393059</v>
      </c>
      <c r="G18" s="26" t="s">
        <v>75</v>
      </c>
      <c r="H18" s="25" t="s">
        <v>76</v>
      </c>
      <c r="I18" s="23" t="s">
        <v>93</v>
      </c>
      <c r="J18" s="21" t="s">
        <v>94</v>
      </c>
      <c r="K18" s="21"/>
      <c r="L18" s="21">
        <v>22.02</v>
      </c>
      <c r="M18" s="21">
        <v>10</v>
      </c>
      <c r="N18" s="21"/>
      <c r="O18" s="21" t="s">
        <v>95</v>
      </c>
      <c r="P18" s="34">
        <v>66.6984</v>
      </c>
      <c r="Q18" s="23">
        <v>1</v>
      </c>
      <c r="R18" s="9">
        <v>3000</v>
      </c>
      <c r="S18" s="36">
        <f>ROUND(L18*8.5*R18/10000,)</f>
        <v>56</v>
      </c>
      <c r="T18" s="38">
        <v>0.85</v>
      </c>
      <c r="U18" s="9">
        <f t="shared" si="4"/>
        <v>57</v>
      </c>
      <c r="V18" s="9">
        <f t="shared" si="5"/>
        <v>56</v>
      </c>
      <c r="W18" s="9"/>
      <c r="X18" s="9">
        <v>29</v>
      </c>
      <c r="Y18" s="9">
        <f t="shared" si="9"/>
        <v>27</v>
      </c>
      <c r="Z18" s="29">
        <f t="shared" si="10"/>
        <v>12.7249163879599</v>
      </c>
      <c r="AA18" s="9">
        <f t="shared" si="11"/>
        <v>13</v>
      </c>
      <c r="AB18" s="29">
        <f t="shared" si="3"/>
        <v>42</v>
      </c>
      <c r="AC18" s="29"/>
      <c r="AD18" s="29">
        <f t="shared" si="7"/>
        <v>14</v>
      </c>
      <c r="AE18" s="9"/>
    </row>
    <row r="19" s="1" customFormat="1" ht="40.5" customHeight="1" spans="1:31">
      <c r="A19" s="8">
        <v>10</v>
      </c>
      <c r="B19" s="21" t="s">
        <v>45</v>
      </c>
      <c r="C19" s="22" t="s">
        <v>73</v>
      </c>
      <c r="D19" s="23" t="s">
        <v>96</v>
      </c>
      <c r="E19" s="27">
        <v>110.953623055555</v>
      </c>
      <c r="F19" s="27">
        <v>27.5271938888888</v>
      </c>
      <c r="G19" s="23" t="s">
        <v>97</v>
      </c>
      <c r="H19" s="24" t="s">
        <v>76</v>
      </c>
      <c r="I19" s="23" t="s">
        <v>98</v>
      </c>
      <c r="J19" s="23" t="s">
        <v>99</v>
      </c>
      <c r="K19" s="23"/>
      <c r="L19" s="23">
        <v>62.04</v>
      </c>
      <c r="M19" s="23">
        <v>7.5</v>
      </c>
      <c r="N19" s="23"/>
      <c r="O19" s="21" t="s">
        <v>100</v>
      </c>
      <c r="P19" s="34">
        <v>200.565</v>
      </c>
      <c r="Q19" s="23">
        <v>1</v>
      </c>
      <c r="R19" s="9">
        <v>3000</v>
      </c>
      <c r="S19" s="9">
        <f t="shared" si="8"/>
        <v>140</v>
      </c>
      <c r="T19" s="38">
        <v>0.85</v>
      </c>
      <c r="U19" s="9">
        <f t="shared" si="4"/>
        <v>170</v>
      </c>
      <c r="V19" s="9">
        <f t="shared" si="5"/>
        <v>140</v>
      </c>
      <c r="W19" s="9"/>
      <c r="X19" s="9">
        <v>70</v>
      </c>
      <c r="Y19" s="9">
        <f t="shared" si="9"/>
        <v>70</v>
      </c>
      <c r="Z19" s="29">
        <f t="shared" si="10"/>
        <v>32.9905239687848</v>
      </c>
      <c r="AA19" s="9">
        <f t="shared" si="11"/>
        <v>33</v>
      </c>
      <c r="AB19" s="29">
        <f t="shared" si="3"/>
        <v>103</v>
      </c>
      <c r="AC19" s="29"/>
      <c r="AD19" s="29">
        <f t="shared" si="7"/>
        <v>37</v>
      </c>
      <c r="AE19" s="9"/>
    </row>
    <row r="20" s="1" customFormat="1" ht="31.5" customHeight="1" spans="1:31">
      <c r="A20" s="8">
        <v>11</v>
      </c>
      <c r="B20" s="21" t="s">
        <v>45</v>
      </c>
      <c r="C20" s="22" t="s">
        <v>73</v>
      </c>
      <c r="D20" s="24" t="s">
        <v>101</v>
      </c>
      <c r="E20" s="27">
        <v>110.804692777777</v>
      </c>
      <c r="F20" s="27">
        <v>27.3149280555555</v>
      </c>
      <c r="G20" s="26" t="s">
        <v>102</v>
      </c>
      <c r="H20" s="24" t="s">
        <v>76</v>
      </c>
      <c r="I20" s="23" t="s">
        <v>103</v>
      </c>
      <c r="J20" s="22" t="s">
        <v>104</v>
      </c>
      <c r="K20" s="22"/>
      <c r="L20" s="22">
        <v>37.04</v>
      </c>
      <c r="M20" s="22">
        <v>6.5</v>
      </c>
      <c r="N20" s="22"/>
      <c r="O20" s="21" t="s">
        <v>105</v>
      </c>
      <c r="P20" s="34">
        <v>106.2197</v>
      </c>
      <c r="Q20" s="23">
        <v>1</v>
      </c>
      <c r="R20" s="9">
        <v>3000</v>
      </c>
      <c r="S20" s="9">
        <f t="shared" si="8"/>
        <v>72</v>
      </c>
      <c r="T20" s="38">
        <v>0.85</v>
      </c>
      <c r="U20" s="9">
        <f t="shared" si="4"/>
        <v>90</v>
      </c>
      <c r="V20" s="9">
        <f t="shared" si="5"/>
        <v>72</v>
      </c>
      <c r="W20" s="9"/>
      <c r="X20" s="9">
        <v>36</v>
      </c>
      <c r="Y20" s="9">
        <f t="shared" si="9"/>
        <v>36</v>
      </c>
      <c r="Z20" s="29">
        <f t="shared" si="10"/>
        <v>16.9665551839465</v>
      </c>
      <c r="AA20" s="9">
        <f t="shared" si="11"/>
        <v>17</v>
      </c>
      <c r="AB20" s="29">
        <f t="shared" si="3"/>
        <v>53</v>
      </c>
      <c r="AC20" s="29"/>
      <c r="AD20" s="29">
        <f t="shared" si="7"/>
        <v>19</v>
      </c>
      <c r="AE20" s="9"/>
    </row>
    <row r="21" s="1" customFormat="1" ht="31.5" customHeight="1" spans="1:31">
      <c r="A21" s="8">
        <v>12</v>
      </c>
      <c r="B21" s="21" t="s">
        <v>45</v>
      </c>
      <c r="C21" s="22" t="s">
        <v>80</v>
      </c>
      <c r="D21" s="22" t="s">
        <v>106</v>
      </c>
      <c r="E21" s="27">
        <v>110.569101</v>
      </c>
      <c r="F21" s="27">
        <v>26.577423</v>
      </c>
      <c r="G21" s="22" t="s">
        <v>107</v>
      </c>
      <c r="H21" s="22" t="s">
        <v>83</v>
      </c>
      <c r="I21" s="22" t="s">
        <v>108</v>
      </c>
      <c r="J21" s="22" t="s">
        <v>109</v>
      </c>
      <c r="K21" s="22"/>
      <c r="L21" s="22">
        <v>15.06</v>
      </c>
      <c r="M21" s="22">
        <v>5.5</v>
      </c>
      <c r="N21" s="22"/>
      <c r="O21" s="21" t="s">
        <v>110</v>
      </c>
      <c r="P21" s="33">
        <v>69.2525</v>
      </c>
      <c r="Q21" s="23">
        <v>1</v>
      </c>
      <c r="R21" s="9">
        <v>3000</v>
      </c>
      <c r="S21" s="9">
        <f t="shared" si="8"/>
        <v>25</v>
      </c>
      <c r="T21" s="38">
        <v>0.85</v>
      </c>
      <c r="U21" s="9">
        <f t="shared" si="4"/>
        <v>59</v>
      </c>
      <c r="V21" s="9">
        <f t="shared" si="5"/>
        <v>25</v>
      </c>
      <c r="W21" s="9"/>
      <c r="X21" s="9">
        <v>13</v>
      </c>
      <c r="Y21" s="9">
        <f t="shared" si="9"/>
        <v>12</v>
      </c>
      <c r="Z21" s="29">
        <f t="shared" si="10"/>
        <v>5.65551839464883</v>
      </c>
      <c r="AA21" s="9">
        <f t="shared" si="11"/>
        <v>6</v>
      </c>
      <c r="AB21" s="29">
        <f t="shared" si="3"/>
        <v>19</v>
      </c>
      <c r="AC21" s="29"/>
      <c r="AD21" s="29">
        <f t="shared" si="7"/>
        <v>6</v>
      </c>
      <c r="AE21" s="9"/>
    </row>
    <row r="22" s="1" customFormat="1" ht="42" customHeight="1" spans="1:31">
      <c r="A22" s="8">
        <v>13</v>
      </c>
      <c r="B22" s="21" t="s">
        <v>45</v>
      </c>
      <c r="C22" s="21" t="s">
        <v>46</v>
      </c>
      <c r="D22" s="21" t="s">
        <v>111</v>
      </c>
      <c r="E22" s="19">
        <v>111.63497569</v>
      </c>
      <c r="F22" s="19">
        <v>27.35573425</v>
      </c>
      <c r="G22" s="21" t="s">
        <v>112</v>
      </c>
      <c r="H22" s="21" t="s">
        <v>83</v>
      </c>
      <c r="I22" s="21" t="s">
        <v>113</v>
      </c>
      <c r="J22" s="21" t="s">
        <v>104</v>
      </c>
      <c r="K22" s="21"/>
      <c r="L22" s="21">
        <v>66.08</v>
      </c>
      <c r="M22" s="21">
        <v>17</v>
      </c>
      <c r="N22" s="21"/>
      <c r="O22" s="21" t="s">
        <v>114</v>
      </c>
      <c r="P22" s="9">
        <v>497.2402</v>
      </c>
      <c r="Q22" s="23">
        <v>1</v>
      </c>
      <c r="R22" s="9">
        <v>3000</v>
      </c>
      <c r="S22" s="36">
        <f>ROUND(L22*8.5*R22/10000,)</f>
        <v>169</v>
      </c>
      <c r="T22" s="38">
        <v>0.85</v>
      </c>
      <c r="U22" s="9">
        <f t="shared" si="4"/>
        <v>423</v>
      </c>
      <c r="V22" s="9">
        <f t="shared" si="5"/>
        <v>169</v>
      </c>
      <c r="W22" s="9"/>
      <c r="X22" s="9">
        <v>119</v>
      </c>
      <c r="Y22" s="9">
        <f t="shared" si="9"/>
        <v>50</v>
      </c>
      <c r="Z22" s="29">
        <f t="shared" si="10"/>
        <v>23.5646599777035</v>
      </c>
      <c r="AA22" s="9">
        <f t="shared" si="11"/>
        <v>24</v>
      </c>
      <c r="AB22" s="29">
        <f t="shared" si="3"/>
        <v>143</v>
      </c>
      <c r="AC22" s="29"/>
      <c r="AD22" s="29">
        <f t="shared" si="7"/>
        <v>26</v>
      </c>
      <c r="AE22" s="9"/>
    </row>
    <row r="23" s="1" customFormat="1" ht="40.5" customHeight="1" spans="1:31">
      <c r="A23" s="8">
        <v>14</v>
      </c>
      <c r="B23" s="21" t="s">
        <v>45</v>
      </c>
      <c r="C23" s="21" t="s">
        <v>46</v>
      </c>
      <c r="D23" s="21" t="s">
        <v>115</v>
      </c>
      <c r="E23" s="19">
        <v>111.291418145</v>
      </c>
      <c r="F23" s="19">
        <v>27.32655365</v>
      </c>
      <c r="G23" s="21" t="s">
        <v>58</v>
      </c>
      <c r="H23" s="21" t="s">
        <v>83</v>
      </c>
      <c r="I23" s="21" t="s">
        <v>116</v>
      </c>
      <c r="J23" s="21" t="s">
        <v>55</v>
      </c>
      <c r="K23" s="21"/>
      <c r="L23" s="21">
        <v>102.08</v>
      </c>
      <c r="M23" s="21">
        <v>7.5</v>
      </c>
      <c r="N23" s="21"/>
      <c r="O23" s="21" t="s">
        <v>117</v>
      </c>
      <c r="P23" s="9">
        <v>352.7879</v>
      </c>
      <c r="Q23" s="23">
        <v>1</v>
      </c>
      <c r="R23" s="9">
        <v>3000</v>
      </c>
      <c r="S23" s="9">
        <f>ROUND(L23*M23*R23/10000,)</f>
        <v>230</v>
      </c>
      <c r="T23" s="38">
        <v>0.85</v>
      </c>
      <c r="U23" s="9">
        <f t="shared" si="4"/>
        <v>300</v>
      </c>
      <c r="V23" s="9">
        <f t="shared" si="5"/>
        <v>230</v>
      </c>
      <c r="W23" s="9"/>
      <c r="X23" s="9">
        <v>115</v>
      </c>
      <c r="Y23" s="9">
        <f t="shared" si="9"/>
        <v>115</v>
      </c>
      <c r="Z23" s="29">
        <f t="shared" si="10"/>
        <v>54.1987179487179</v>
      </c>
      <c r="AA23" s="9">
        <f t="shared" si="11"/>
        <v>54</v>
      </c>
      <c r="AB23" s="29">
        <f t="shared" si="3"/>
        <v>169</v>
      </c>
      <c r="AC23" s="29"/>
      <c r="AD23" s="29">
        <f t="shared" si="7"/>
        <v>61</v>
      </c>
      <c r="AE23" s="21" t="s">
        <v>118</v>
      </c>
    </row>
    <row r="24" s="1" customFormat="1" ht="31.5" customHeight="1" spans="1:31">
      <c r="A24" s="8">
        <v>15</v>
      </c>
      <c r="B24" s="21" t="s">
        <v>45</v>
      </c>
      <c r="C24" s="21" t="s">
        <v>46</v>
      </c>
      <c r="D24" s="21" t="s">
        <v>119</v>
      </c>
      <c r="E24" s="28">
        <v>111.28255478</v>
      </c>
      <c r="F24" s="28">
        <v>27.52456631</v>
      </c>
      <c r="G24" s="21" t="s">
        <v>120</v>
      </c>
      <c r="H24" s="21" t="s">
        <v>83</v>
      </c>
      <c r="I24" s="21" t="s">
        <v>121</v>
      </c>
      <c r="J24" s="21" t="s">
        <v>122</v>
      </c>
      <c r="K24" s="21"/>
      <c r="L24" s="21">
        <v>23.82</v>
      </c>
      <c r="M24" s="21">
        <v>6</v>
      </c>
      <c r="N24" s="21"/>
      <c r="O24" s="21" t="s">
        <v>123</v>
      </c>
      <c r="P24" s="9">
        <v>78.5744</v>
      </c>
      <c r="Q24" s="23">
        <v>1</v>
      </c>
      <c r="R24" s="9">
        <v>3000</v>
      </c>
      <c r="S24" s="9">
        <f>ROUND(L24*M24*R24/10000,)</f>
        <v>43</v>
      </c>
      <c r="T24" s="38">
        <v>0.85</v>
      </c>
      <c r="U24" s="9">
        <f t="shared" si="4"/>
        <v>67</v>
      </c>
      <c r="V24" s="9">
        <f t="shared" si="5"/>
        <v>43</v>
      </c>
      <c r="W24" s="9"/>
      <c r="X24" s="9">
        <f>21.5+0.3</f>
        <v>21.8</v>
      </c>
      <c r="Y24" s="9">
        <f t="shared" si="9"/>
        <v>21.2</v>
      </c>
      <c r="Z24" s="29">
        <f t="shared" si="10"/>
        <v>9.99141583054626</v>
      </c>
      <c r="AA24" s="9">
        <f t="shared" si="11"/>
        <v>10</v>
      </c>
      <c r="AB24" s="29">
        <f t="shared" si="3"/>
        <v>31.8</v>
      </c>
      <c r="AC24" s="29"/>
      <c r="AD24" s="29">
        <f t="shared" si="7"/>
        <v>11.2</v>
      </c>
      <c r="AE24" s="9"/>
    </row>
  </sheetData>
  <autoFilter ref="A5:AG24">
    <extLst/>
  </autoFilter>
  <mergeCells count="30">
    <mergeCell ref="A1:B1"/>
    <mergeCell ref="A2:AE2"/>
    <mergeCell ref="E3:F3"/>
    <mergeCell ref="L3:P3"/>
    <mergeCell ref="A5:C5"/>
    <mergeCell ref="B6:C6"/>
    <mergeCell ref="B12:C12"/>
    <mergeCell ref="A3:A4"/>
    <mergeCell ref="B3:B4"/>
    <mergeCell ref="C3:C4"/>
    <mergeCell ref="D3:D4"/>
    <mergeCell ref="G3:G4"/>
    <mergeCell ref="H3:H4"/>
    <mergeCell ref="I3:I4"/>
    <mergeCell ref="J3:J4"/>
    <mergeCell ref="K3:K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AA3:AA4"/>
    <mergeCell ref="AB3:AB4"/>
    <mergeCell ref="AC3:AC4"/>
    <mergeCell ref="AD3:AD4"/>
    <mergeCell ref="AE3:AE4"/>
  </mergeCells>
  <printOptions horizontalCentered="1"/>
  <pageMargins left="0.354330708661417" right="0.15748031496063" top="0.64" bottom="0.83" header="0.31496062992126" footer="0.46"/>
  <pageSetup paperSize="9" scale="80" orientation="portrait" horizontalDpi="2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 (12.10)</vt:lpstr>
      <vt:lpstr>明细表12.10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2020-07-28T00:38:03Z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